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BROS\BenComm\Life &amp; Disability\"/>
    </mc:Choice>
  </mc:AlternateContent>
  <xr:revisionPtr revIDLastSave="0" documentId="8_{FEC7CD78-D4A7-4CB9-AA6C-D7CD771252F1}" xr6:coauthVersionLast="47" xr6:coauthVersionMax="47" xr10:uidLastSave="{00000000-0000-0000-0000-000000000000}"/>
  <bookViews>
    <workbookView xWindow="3555" yWindow="1710" windowWidth="16080" windowHeight="11055" xr2:uid="{00000000-000D-0000-FFFF-FFFF00000000}"/>
  </bookViews>
  <sheets>
    <sheet name="Calculator" sheetId="1" r:id="rId1"/>
    <sheet name="Tabl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2" i="1"/>
  <c r="D1" i="1" l="1"/>
  <c r="E46" i="1"/>
  <c r="A16" i="1" l="1"/>
  <c r="C16" i="1" s="1"/>
  <c r="E50" i="1" l="1"/>
  <c r="D50" i="1" s="1"/>
  <c r="F46" i="1"/>
  <c r="E42" i="1"/>
  <c r="D42" i="1" s="1"/>
  <c r="C50" i="1"/>
  <c r="C46" i="1"/>
  <c r="E31" i="2"/>
  <c r="E32" i="2" s="1"/>
  <c r="E33" i="2" s="1"/>
  <c r="E34" i="2" s="1"/>
  <c r="E35" i="2" s="1"/>
  <c r="E36" i="2" s="1"/>
  <c r="E37" i="2" s="1"/>
  <c r="E38" i="2" s="1"/>
  <c r="E39" i="2" s="1"/>
  <c r="A31" i="2"/>
  <c r="A32" i="2" s="1"/>
  <c r="A33" i="2" s="1"/>
  <c r="A34" i="2" s="1"/>
  <c r="A35" i="2" s="1"/>
  <c r="A36" i="2" s="1"/>
  <c r="A37" i="2" s="1"/>
  <c r="A38" i="2" s="1"/>
  <c r="A39" i="2" s="1"/>
  <c r="H45" i="1"/>
  <c r="H42" i="1"/>
  <c r="H50" i="1" s="1"/>
  <c r="B33" i="1"/>
  <c r="M5" i="1"/>
  <c r="D24" i="1"/>
  <c r="E24" i="1" s="1"/>
  <c r="C24" i="1"/>
  <c r="H46" i="1" l="1"/>
  <c r="E38" i="1" s="1"/>
  <c r="D46" i="1"/>
  <c r="F50" i="1"/>
  <c r="F42" i="1"/>
  <c r="C33" i="1"/>
  <c r="E33" i="1" l="1"/>
  <c r="F33" i="1" s="1"/>
  <c r="F38" i="1"/>
  <c r="D38" i="1"/>
  <c r="D33" i="1" l="1"/>
  <c r="H33" i="1" s="1"/>
  <c r="E29" i="1" s="1"/>
  <c r="F29" i="1" l="1"/>
  <c r="D29" i="1"/>
  <c r="H19" i="1" l="1"/>
  <c r="H16" i="1"/>
  <c r="F24" i="1" l="1"/>
  <c r="A18" i="2"/>
  <c r="A19" i="2" s="1"/>
  <c r="A20" i="2" s="1"/>
  <c r="A21" i="2" l="1"/>
  <c r="A22" i="2" s="1"/>
  <c r="A23" i="2" s="1"/>
  <c r="A24" i="2" s="1"/>
  <c r="A25" i="2" s="1"/>
  <c r="A26" i="2" s="1"/>
  <c r="E16" i="1"/>
  <c r="F16" i="1" s="1"/>
  <c r="D16" i="1"/>
  <c r="H20" i="1"/>
  <c r="C20" i="1" l="1"/>
  <c r="H24" i="1"/>
  <c r="E20" i="1" l="1"/>
  <c r="F20" i="1" s="1"/>
  <c r="F12" i="1" s="1"/>
  <c r="D20" i="1"/>
  <c r="E12" i="1" l="1"/>
  <c r="E8" i="1" s="1"/>
  <c r="D8" i="1" l="1"/>
  <c r="F8" i="1"/>
  <c r="D12" i="1"/>
</calcChain>
</file>

<file path=xl/sharedStrings.xml><?xml version="1.0" encoding="utf-8"?>
<sst xmlns="http://schemas.openxmlformats.org/spreadsheetml/2006/main" count="134" uniqueCount="81">
  <si>
    <t>Age</t>
  </si>
  <si>
    <t>Employee Type</t>
  </si>
  <si>
    <t>Regular Employee (JLMIC)</t>
  </si>
  <si>
    <t>Benefit Amount</t>
  </si>
  <si>
    <t>Cost per Year</t>
  </si>
  <si>
    <t>Cost per Month</t>
  </si>
  <si>
    <t>Cost per Pay Period</t>
  </si>
  <si>
    <t>Lower Age</t>
  </si>
  <si>
    <t>JLMIC</t>
  </si>
  <si>
    <t>JLMIC Spouse</t>
  </si>
  <si>
    <t>JLMIC EE</t>
  </si>
  <si>
    <t>DS EE</t>
  </si>
  <si>
    <t>DS Spouse</t>
  </si>
  <si>
    <t>Life Insurance</t>
  </si>
  <si>
    <t>Deputy Sheriff</t>
  </si>
  <si>
    <t xml:space="preserve">ACA </t>
  </si>
  <si>
    <t>Benefit Category</t>
  </si>
  <si>
    <t>$25K Increments</t>
  </si>
  <si>
    <t>Salary Increments</t>
  </si>
  <si>
    <t>ATU FT</t>
  </si>
  <si>
    <t>ATU PT</t>
  </si>
  <si>
    <t>DS</t>
  </si>
  <si>
    <t>ACA</t>
  </si>
  <si>
    <t>Multiplier</t>
  </si>
  <si>
    <t>Short</t>
  </si>
  <si>
    <t>LOOKUP Col</t>
  </si>
  <si>
    <t>Amt Calc</t>
  </si>
  <si>
    <t>Default</t>
  </si>
  <si>
    <t>ACA EE</t>
  </si>
  <si>
    <t>ACA Spouse</t>
  </si>
  <si>
    <t>ATU FT EE</t>
  </si>
  <si>
    <t>ATU FT Spouse</t>
  </si>
  <si>
    <t>ATU PT EE</t>
  </si>
  <si>
    <t>ATU PT Spouse</t>
  </si>
  <si>
    <t>$25K</t>
  </si>
  <si>
    <t>Select</t>
  </si>
  <si>
    <t>Yes</t>
  </si>
  <si>
    <t>Benefit Max</t>
  </si>
  <si>
    <t>Total Cost as Selected</t>
  </si>
  <si>
    <t>Annual Salary</t>
  </si>
  <si>
    <t>Cost as Selected</t>
  </si>
  <si>
    <t>LIFE</t>
  </si>
  <si>
    <t>No</t>
  </si>
  <si>
    <t>STD Avail</t>
  </si>
  <si>
    <t>EE Sup Life</t>
  </si>
  <si>
    <t>Sp Life</t>
  </si>
  <si>
    <t>Child Life</t>
  </si>
  <si>
    <t>Sup LTD</t>
  </si>
  <si>
    <t>Part Time ATU (5PC/5PR)</t>
  </si>
  <si>
    <t>Full Time ATU</t>
  </si>
  <si>
    <t>Hours per week</t>
  </si>
  <si>
    <t>Hourly rate</t>
  </si>
  <si>
    <t>Sup LTD Avail</t>
  </si>
  <si>
    <t>TEA</t>
  </si>
  <si>
    <t>Max Wkly Benefit Amount</t>
  </si>
  <si>
    <t xml:space="preserve">        Benefit amounts will calculate based on $25,000 salary equivalent</t>
  </si>
  <si>
    <t>Sup AD&amp;D</t>
  </si>
  <si>
    <t>EE Cost/mo</t>
  </si>
  <si>
    <t>Sp Cost/mo (50%)</t>
  </si>
  <si>
    <t>Sp Cost/mo (100%)</t>
  </si>
  <si>
    <t>Child Cost/mo (10%)</t>
  </si>
  <si>
    <t>Child Life Insurance (must select EE Sup Life)</t>
  </si>
  <si>
    <t>EE AD&amp;D</t>
  </si>
  <si>
    <t>Sp AD&amp;D</t>
  </si>
  <si>
    <t>Child AD&amp;D</t>
  </si>
  <si>
    <t>Selected Coverages</t>
  </si>
  <si>
    <t>Per Year</t>
  </si>
  <si>
    <t>Per Month</t>
  </si>
  <si>
    <t>Per Pay Period</t>
  </si>
  <si>
    <t>→</t>
  </si>
  <si>
    <t>Spouse AD&amp;D (must select Employee Supplemental AD&amp;D); options 50% or 100%</t>
  </si>
  <si>
    <t>Child AD&amp;D (must select Employee Supplemental AD&amp;D); option 10%</t>
  </si>
  <si>
    <t>Employee Supplemental AD&amp;D; options $50K increments to $500K</t>
  </si>
  <si>
    <t>TEA (W2)</t>
  </si>
  <si>
    <t>Spouse Life Insurance (must select Empoyee Sup Life); 50% of selected EE Sup Life</t>
  </si>
  <si>
    <t>Annual Salary Calculator</t>
  </si>
  <si>
    <t>Life Ins Max</t>
  </si>
  <si>
    <t>Supplemental Long Term Disability</t>
  </si>
  <si>
    <t>Employee Supplemental Life Insurance; options 1x, 2x, 3x, 4x (max of $750K or $400K, depending on Employee Type)</t>
  </si>
  <si>
    <t>BROS17</t>
  </si>
  <si>
    <t>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</si>
</sst>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\ \ #,##0"/>
    <numFmt numFmtId="168" formatCode="&quot;$&quot;\ \ #,##0.00"/>
    <numFmt numFmtId="169" formatCode="&quot;$&quot;\ \ #,##0.000"/>
    <numFmt numFmtId="170" formatCode="_(* #,##0_);_(* \(#,##0\);_(* &quot;-&quot;??_);_(@_)"/>
    <numFmt numFmtId="171" formatCode="_(&quot;$&quot;* #,##0.00000_);_(&quot;$&quot;* \(#,##0.00000\);_(&quot;$&quot;* &quot;-&quot;??_);_(@_)"/>
    <numFmt numFmtId="172" formatCode="&quot;$&quot;#,##0.000"/>
    <numFmt numFmtId="173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28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thin">
        <color theme="0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thin">
        <color theme="0" tint="-0.24994659260841701"/>
      </bottom>
      <diagonal/>
    </border>
    <border>
      <left style="thick">
        <color theme="7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7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7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7" tint="-0.24994659260841701"/>
      </bottom>
      <diagonal/>
    </border>
    <border>
      <left style="thin">
        <color theme="0" tint="-0.24994659260841701"/>
      </left>
      <right style="thick">
        <color theme="7" tint="-0.24994659260841701"/>
      </right>
      <top style="thin">
        <color theme="0" tint="-0.24994659260841701"/>
      </top>
      <bottom style="thick">
        <color theme="7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15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0" borderId="0" xfId="1" applyNumberFormat="1" applyFont="1" applyAlignment="1">
      <alignment horizontal="left"/>
    </xf>
    <xf numFmtId="167" fontId="0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1" xfId="0" applyFill="1" applyBorder="1"/>
    <xf numFmtId="0" fontId="0" fillId="5" borderId="0" xfId="0" applyFill="1"/>
    <xf numFmtId="0" fontId="3" fillId="6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69" fontId="4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8" borderId="8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69" fontId="0" fillId="9" borderId="1" xfId="0" applyNumberFormat="1" applyFill="1" applyBorder="1" applyAlignment="1">
      <alignment horizontal="center"/>
    </xf>
    <xf numFmtId="166" fontId="0" fillId="9" borderId="1" xfId="0" applyNumberForma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3" fillId="11" borderId="1" xfId="0" applyFont="1" applyFill="1" applyBorder="1" applyAlignment="1" applyProtection="1">
      <alignment horizontal="center"/>
      <protection locked="0"/>
    </xf>
    <xf numFmtId="167" fontId="3" fillId="11" borderId="0" xfId="1" applyNumberFormat="1" applyFont="1" applyFill="1" applyAlignment="1" applyProtection="1">
      <alignment horizontal="center"/>
      <protection locked="0"/>
    </xf>
    <xf numFmtId="9" fontId="3" fillId="11" borderId="1" xfId="0" applyNumberFormat="1" applyFont="1" applyFill="1" applyBorder="1" applyAlignment="1" applyProtection="1">
      <alignment horizontal="center"/>
      <protection locked="0"/>
    </xf>
    <xf numFmtId="9" fontId="0" fillId="4" borderId="1" xfId="0" applyNumberFormat="1" applyFill="1" applyBorder="1" applyAlignment="1" applyProtection="1">
      <alignment horizontal="center"/>
    </xf>
    <xf numFmtId="44" fontId="3" fillId="12" borderId="1" xfId="1" applyFont="1" applyFill="1" applyBorder="1" applyProtection="1">
      <protection locked="0"/>
    </xf>
    <xf numFmtId="0" fontId="3" fillId="12" borderId="1" xfId="0" applyFont="1" applyFill="1" applyBorder="1" applyAlignment="1" applyProtection="1">
      <alignment horizontal="right" indent="1"/>
      <protection locked="0"/>
    </xf>
    <xf numFmtId="44" fontId="3" fillId="12" borderId="1" xfId="1" applyNumberFormat="1" applyFont="1" applyFill="1" applyBorder="1"/>
    <xf numFmtId="0" fontId="10" fillId="7" borderId="0" xfId="0" applyFont="1" applyFill="1"/>
    <xf numFmtId="170" fontId="0" fillId="0" borderId="0" xfId="2" applyNumberFormat="1" applyFont="1"/>
    <xf numFmtId="171" fontId="0" fillId="0" borderId="0" xfId="1" applyNumberFormat="1" applyFont="1" applyAlignment="1">
      <alignment horizontal="center"/>
    </xf>
    <xf numFmtId="0" fontId="0" fillId="13" borderId="0" xfId="0" applyFill="1" applyAlignment="1">
      <alignment horizontal="center"/>
    </xf>
    <xf numFmtId="164" fontId="0" fillId="13" borderId="0" xfId="1" applyNumberFormat="1" applyFont="1" applyFill="1" applyAlignment="1">
      <alignment horizontal="center"/>
    </xf>
    <xf numFmtId="44" fontId="0" fillId="0" borderId="0" xfId="0" applyNumberFormat="1"/>
    <xf numFmtId="172" fontId="0" fillId="3" borderId="0" xfId="0" applyNumberFormat="1" applyFill="1"/>
    <xf numFmtId="173" fontId="0" fillId="3" borderId="0" xfId="0" applyNumberFormat="1" applyFill="1"/>
    <xf numFmtId="164" fontId="0" fillId="14" borderId="0" xfId="1" applyNumberFormat="1" applyFont="1" applyFill="1" applyAlignment="1">
      <alignment horizontal="center"/>
    </xf>
    <xf numFmtId="164" fontId="0" fillId="0" borderId="0" xfId="0" applyNumberFormat="1"/>
    <xf numFmtId="164" fontId="12" fillId="0" borderId="0" xfId="3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</cellXfs>
  <cellStyles count="4">
    <cellStyle name="Comma" xfId="2" builtinId="3"/>
    <cellStyle name="Currency" xfId="1" builtinId="4"/>
    <cellStyle name="Neutral" xfId="3" builtinId="28"/>
    <cellStyle name="Normal" xfId="0" builtinId="0"/>
  </cellStyles>
  <dxfs count="34">
    <dxf>
      <font>
        <color rgb="FF9933FF"/>
      </font>
    </dxf>
    <dxf>
      <font>
        <b/>
        <i val="0"/>
        <color rgb="FF9933FF"/>
      </font>
      <fill>
        <patternFill patternType="solid">
          <bgColor theme="4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right/>
        <top/>
        <bottom/>
        <vertical/>
        <horizontal/>
      </border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9933FF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workbookViewId="0">
      <pane ySplit="10" topLeftCell="A11" activePane="bottomLeft" state="frozen"/>
      <selection pane="bottomLeft" activeCell="C2" sqref="C2"/>
    </sheetView>
  </sheetViews>
  <sheetFormatPr defaultRowHeight="15" x14ac:dyDescent="0.25"/>
  <cols>
    <col min="2" max="2" width="17.7109375" customWidth="1"/>
    <col min="3" max="3" width="26.42578125" customWidth="1"/>
    <col min="4" max="4" width="20.140625" customWidth="1"/>
    <col min="5" max="6" width="19.140625" customWidth="1"/>
    <col min="8" max="8" width="2.28515625" customWidth="1"/>
    <col min="10" max="10" width="3.85546875" customWidth="1"/>
    <col min="11" max="11" width="15" customWidth="1"/>
    <col min="12" max="12" width="2.85546875" style="23" customWidth="1"/>
    <col min="13" max="13" width="14" customWidth="1"/>
    <col min="14" max="14" width="8.85546875" customWidth="1"/>
    <col min="15" max="15" width="10.5703125" bestFit="1" customWidth="1"/>
    <col min="16" max="28" width="8.85546875" customWidth="1"/>
  </cols>
  <sheetData>
    <row r="1" spans="1:28" ht="16.5" thickTop="1" x14ac:dyDescent="0.25">
      <c r="A1" s="18"/>
      <c r="B1" s="18"/>
      <c r="C1" s="18"/>
      <c r="D1" s="42">
        <f>SUM(D2:D4)</f>
        <v>0</v>
      </c>
      <c r="E1" s="60" t="s">
        <v>65</v>
      </c>
      <c r="F1" s="61"/>
      <c r="G1" s="18"/>
      <c r="H1" s="12"/>
      <c r="I1" s="16"/>
      <c r="J1" s="10"/>
      <c r="K1" s="53" t="s">
        <v>75</v>
      </c>
      <c r="L1" s="53"/>
      <c r="M1" s="5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x14ac:dyDescent="0.25">
      <c r="A2" s="18"/>
      <c r="B2" s="15" t="s">
        <v>1</v>
      </c>
      <c r="C2" s="35"/>
      <c r="D2" s="12">
        <f>IF(C2&lt;&gt;"",1,0)</f>
        <v>0</v>
      </c>
      <c r="E2" s="30" t="s">
        <v>44</v>
      </c>
      <c r="F2" s="31" t="s">
        <v>47</v>
      </c>
      <c r="G2" s="18"/>
      <c r="H2" s="12"/>
      <c r="I2" s="16"/>
      <c r="J2" s="10"/>
      <c r="K2" s="15" t="s">
        <v>51</v>
      </c>
      <c r="L2" s="34" t="s">
        <v>69</v>
      </c>
      <c r="M2" s="3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18"/>
      <c r="B3" s="15" t="s">
        <v>0</v>
      </c>
      <c r="C3" s="35"/>
      <c r="D3" s="12">
        <f>IF(C3&lt;&gt;"",1,0)</f>
        <v>0</v>
      </c>
      <c r="E3" s="30" t="s">
        <v>45</v>
      </c>
      <c r="F3" s="31" t="s">
        <v>62</v>
      </c>
      <c r="G3" s="18"/>
      <c r="H3" s="12"/>
      <c r="I3" s="16"/>
      <c r="J3" s="10"/>
      <c r="K3" s="15" t="s">
        <v>50</v>
      </c>
      <c r="L3" s="34" t="s">
        <v>69</v>
      </c>
      <c r="M3" s="4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x14ac:dyDescent="0.25">
      <c r="A4" s="18"/>
      <c r="B4" s="15" t="s">
        <v>39</v>
      </c>
      <c r="C4" s="36"/>
      <c r="D4" s="12">
        <f>IF(C4&lt;&gt;"",1,0)</f>
        <v>0</v>
      </c>
      <c r="E4" s="30" t="s">
        <v>46</v>
      </c>
      <c r="F4" s="31" t="s">
        <v>63</v>
      </c>
      <c r="G4" s="18"/>
      <c r="H4" s="12"/>
      <c r="I4" s="16"/>
      <c r="J4" s="10"/>
      <c r="K4" s="10"/>
      <c r="L4" s="22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5.75" thickBot="1" x14ac:dyDescent="0.3">
      <c r="A5" s="18"/>
      <c r="B5" s="12" t="s">
        <v>55</v>
      </c>
      <c r="C5" s="10"/>
      <c r="D5" s="10"/>
      <c r="E5" s="32"/>
      <c r="F5" s="33" t="s">
        <v>64</v>
      </c>
      <c r="G5" s="18"/>
      <c r="H5" s="12"/>
      <c r="I5" s="16"/>
      <c r="J5" s="10"/>
      <c r="K5" s="15" t="s">
        <v>39</v>
      </c>
      <c r="L5" s="24"/>
      <c r="M5" s="41" t="str">
        <f>IF(AND(M3&gt;0,M2&gt;0),52*(M3*M2),"")</f>
        <v/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6" customHeight="1" thickTop="1" x14ac:dyDescent="0.25">
      <c r="A6" s="18"/>
      <c r="B6" s="18"/>
      <c r="C6" s="18"/>
      <c r="D6" s="18"/>
      <c r="E6" s="18"/>
      <c r="F6" s="18"/>
      <c r="G6" s="18"/>
      <c r="H6" s="12"/>
      <c r="I6" s="16"/>
      <c r="J6" s="10"/>
      <c r="K6" s="10"/>
      <c r="L6" s="2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x14ac:dyDescent="0.25">
      <c r="A7" s="18"/>
      <c r="B7" s="18"/>
      <c r="C7" s="19"/>
      <c r="D7" s="27" t="s">
        <v>66</v>
      </c>
      <c r="E7" s="27" t="s">
        <v>67</v>
      </c>
      <c r="F7" s="27" t="s">
        <v>68</v>
      </c>
      <c r="G7" s="18"/>
      <c r="H7" s="12"/>
      <c r="I7" s="16"/>
      <c r="J7" s="10"/>
      <c r="K7" s="10"/>
      <c r="L7" s="2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x14ac:dyDescent="0.25">
      <c r="A8" s="18"/>
      <c r="B8" s="18"/>
      <c r="C8" s="26" t="s">
        <v>38</v>
      </c>
      <c r="D8" s="28">
        <f>IFERROR(E8*12,0)</f>
        <v>0</v>
      </c>
      <c r="E8" s="28">
        <f>IFERROR(E12+E29+E38,0)</f>
        <v>0</v>
      </c>
      <c r="F8" s="29">
        <f>IFERROR(E8/2,0)</f>
        <v>0</v>
      </c>
      <c r="G8" s="18"/>
      <c r="H8" s="12"/>
      <c r="I8" s="16"/>
      <c r="J8" s="10"/>
      <c r="K8" s="10"/>
      <c r="L8" s="22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8.25" customHeight="1" x14ac:dyDescent="0.25">
      <c r="A9" s="18"/>
      <c r="B9" s="18"/>
      <c r="C9" s="19"/>
      <c r="D9" s="18"/>
      <c r="E9" s="18"/>
      <c r="F9" s="18"/>
      <c r="G9" s="18"/>
      <c r="H9" s="12"/>
      <c r="I9" s="16"/>
      <c r="J9" s="10"/>
      <c r="K9" s="10"/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6.75" customHeight="1" thickBot="1" x14ac:dyDescent="0.3">
      <c r="A10" s="10"/>
      <c r="B10" s="10"/>
      <c r="C10" s="10"/>
      <c r="D10" s="10"/>
      <c r="E10" s="10"/>
      <c r="F10" s="10"/>
      <c r="G10" s="10"/>
      <c r="H10" s="12"/>
      <c r="I10" s="16"/>
      <c r="J10" s="10"/>
      <c r="K10" s="10"/>
      <c r="L10" s="22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5.75" thickTop="1" x14ac:dyDescent="0.25">
      <c r="A11" s="54" t="s">
        <v>41</v>
      </c>
      <c r="B11" s="55"/>
      <c r="C11" s="10"/>
      <c r="D11" s="10"/>
      <c r="E11" s="10"/>
      <c r="F11" s="10"/>
      <c r="G11" s="10"/>
      <c r="H11" s="12"/>
      <c r="I11" s="16"/>
      <c r="J11" s="10"/>
      <c r="K11" s="10"/>
      <c r="L11" s="2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x14ac:dyDescent="0.25">
      <c r="A12" s="56"/>
      <c r="B12" s="57"/>
      <c r="C12" s="17" t="s">
        <v>40</v>
      </c>
      <c r="D12" s="21" t="e">
        <f>E12*12</f>
        <v>#N/A</v>
      </c>
      <c r="E12" s="21" t="e">
        <f>SUMPRODUCT(E16:E16,$H$16:$H$16)+SUMPRODUCT(E20:E20,$H$20:$H$20)+SUMPRODUCT(E24,$H$24)</f>
        <v>#N/A</v>
      </c>
      <c r="F12" s="21" t="e">
        <f>SUMPRODUCT(F16:F16,$H$16:$H$16)+SUMPRODUCT(F20:F20,$H$20:$H$20)+SUMPRODUCT(F24,$H$24)</f>
        <v>#VALUE!</v>
      </c>
      <c r="G12" s="10"/>
      <c r="H12" s="12"/>
      <c r="I12" s="16"/>
      <c r="J12" s="10"/>
      <c r="K12" s="10"/>
      <c r="L12" s="2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5.75" thickBot="1" x14ac:dyDescent="0.3">
      <c r="A13" s="58"/>
      <c r="B13" s="59"/>
      <c r="C13" s="10"/>
      <c r="D13" s="10"/>
      <c r="E13" s="10"/>
      <c r="F13" s="10"/>
      <c r="G13" s="10"/>
      <c r="H13" s="12"/>
      <c r="I13" s="16"/>
      <c r="J13" s="10"/>
      <c r="K13" s="10"/>
      <c r="L13" s="2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5.75" thickTop="1" x14ac:dyDescent="0.25">
      <c r="A14" s="13" t="s">
        <v>78</v>
      </c>
      <c r="B14" s="13"/>
      <c r="C14" s="13"/>
      <c r="D14" s="13"/>
      <c r="E14" s="13"/>
      <c r="F14" s="13"/>
      <c r="G14" s="10"/>
      <c r="H14" s="12"/>
      <c r="I14" s="16"/>
      <c r="J14" s="10"/>
      <c r="K14" s="10"/>
      <c r="L14" s="2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x14ac:dyDescent="0.25">
      <c r="A15" s="10"/>
      <c r="B15" s="10"/>
      <c r="C15" s="17" t="s">
        <v>3</v>
      </c>
      <c r="D15" s="17" t="s">
        <v>4</v>
      </c>
      <c r="E15" s="17" t="s">
        <v>5</v>
      </c>
      <c r="F15" s="17" t="s">
        <v>6</v>
      </c>
      <c r="G15" s="20" t="s">
        <v>35</v>
      </c>
      <c r="H15" s="12"/>
      <c r="I15" s="16"/>
      <c r="J15" s="10"/>
      <c r="K15" s="10"/>
      <c r="L15" s="2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x14ac:dyDescent="0.25">
      <c r="A16" s="12" t="e">
        <f>IF(VLOOKUP($C$2,Tables!$A$4:$E$10,5,0)="$25K",25000,Calculator!$C$4)</f>
        <v>#N/A</v>
      </c>
      <c r="B16" s="35" t="s">
        <v>80</v>
      </c>
      <c r="C16" s="6" t="e">
        <f>IF(VLOOKUP($C$2,Tables!$A$4:$E$10,5,0)="Default",MIN(VLOOKUP(C2,Tables!A4:H10,8,0),ROUNDUP(LEFT($B16,1)*$A$16,-3)),IF(VLOOKUP($C$2,Tables!$A$4:$E$10,5,0)="$25K",$A$16*LEFT($B16,1),"Error"))</f>
        <v>#N/A</v>
      </c>
      <c r="D16" s="8" t="str">
        <f>IFERROR(VLOOKUP($C$3,Tables!$A$14:$L$26,VLOOKUP($C$2,Tables!$A$4:$D$12,4,0),1)*12*$C16/1000,"N/A")</f>
        <v>N/A</v>
      </c>
      <c r="E16" s="8" t="str">
        <f>IFERROR(VLOOKUP($C$3,Tables!$A$14:$L$26,VLOOKUP($C$2,Tables!$A$4:$D$12,4,0),1)*$C16/1000,"n/a")</f>
        <v>n/a</v>
      </c>
      <c r="F16" s="9" t="e">
        <f>E16/2</f>
        <v>#VALUE!</v>
      </c>
      <c r="G16" s="35"/>
      <c r="H16" s="12">
        <f>IF(G16="Yes",1,0)</f>
        <v>0</v>
      </c>
      <c r="I16" s="16"/>
      <c r="J16" s="10"/>
      <c r="K16" s="10"/>
      <c r="L16" s="22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x14ac:dyDescent="0.25">
      <c r="A17" s="10"/>
      <c r="B17" s="11"/>
      <c r="C17" s="10"/>
      <c r="D17" s="11"/>
      <c r="E17" s="11"/>
      <c r="F17" s="11"/>
      <c r="G17" s="10"/>
      <c r="H17" s="12"/>
      <c r="I17" s="16"/>
      <c r="J17" s="10"/>
      <c r="K17" s="10"/>
      <c r="L17" s="2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x14ac:dyDescent="0.25">
      <c r="A18" s="13" t="s">
        <v>74</v>
      </c>
      <c r="B18" s="14"/>
      <c r="C18" s="13"/>
      <c r="D18" s="14"/>
      <c r="E18" s="13"/>
      <c r="F18" s="13"/>
      <c r="G18" s="10"/>
      <c r="H18" s="12"/>
      <c r="I18" s="16"/>
      <c r="J18" s="10"/>
      <c r="K18" s="10"/>
      <c r="L18" s="22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x14ac:dyDescent="0.25">
      <c r="A19" s="10"/>
      <c r="B19" s="11"/>
      <c r="C19" s="17" t="s">
        <v>3</v>
      </c>
      <c r="D19" s="17" t="s">
        <v>4</v>
      </c>
      <c r="E19" s="17" t="s">
        <v>5</v>
      </c>
      <c r="F19" s="17" t="s">
        <v>6</v>
      </c>
      <c r="G19" s="20" t="s">
        <v>35</v>
      </c>
      <c r="H19" s="12">
        <f>IF(G20="Yes",1,0)</f>
        <v>0</v>
      </c>
      <c r="I19" s="16"/>
      <c r="J19" s="10"/>
      <c r="K19" s="10"/>
      <c r="L19" s="2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x14ac:dyDescent="0.25">
      <c r="A20" s="10"/>
      <c r="B20" s="10"/>
      <c r="C20" s="6" t="e">
        <f>0.5*MAX(SUMPRODUCT(C16:C16,H16:H16))</f>
        <v>#N/A</v>
      </c>
      <c r="D20" s="8" t="str">
        <f>IFERROR(VLOOKUP($C$3,Tables!$A$14:$L$26,VLOOKUP($C$2,Tables!$A$4:$D$12,4,0)+1,1)*12*$C20/1000,"N/A")</f>
        <v>N/A</v>
      </c>
      <c r="E20" s="8" t="str">
        <f>IFERROR(VLOOKUP($C$3,Tables!$A$14:$L$26,VLOOKUP($C$2,Tables!$A$4:$D$12,4,0)+1,1)*$C20/1000,"N/A")</f>
        <v>N/A</v>
      </c>
      <c r="F20" s="9" t="e">
        <f>E20/2</f>
        <v>#VALUE!</v>
      </c>
      <c r="G20" s="35"/>
      <c r="H20" s="12">
        <f>MAX(0,SUM($H$19,H16)-1)</f>
        <v>0</v>
      </c>
      <c r="I20" s="16"/>
      <c r="J20" s="10"/>
      <c r="K20" s="10"/>
      <c r="L20" s="22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x14ac:dyDescent="0.25">
      <c r="A21" s="10"/>
      <c r="B21" s="10"/>
      <c r="C21" s="10"/>
      <c r="D21" s="11"/>
      <c r="E21" s="11"/>
      <c r="F21" s="11"/>
      <c r="G21" s="10"/>
      <c r="H21" s="12"/>
      <c r="I21" s="16"/>
      <c r="J21" s="10"/>
      <c r="K21" s="10"/>
      <c r="L21" s="2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x14ac:dyDescent="0.25">
      <c r="A22" s="13" t="s">
        <v>61</v>
      </c>
      <c r="B22" s="14"/>
      <c r="C22" s="13"/>
      <c r="D22" s="13"/>
      <c r="E22" s="13"/>
      <c r="F22" s="13"/>
      <c r="G22" s="10"/>
      <c r="H22" s="12"/>
      <c r="I22" s="16"/>
      <c r="J22" s="10"/>
      <c r="K22" s="10"/>
      <c r="L22" s="22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x14ac:dyDescent="0.25">
      <c r="A23" s="10"/>
      <c r="B23" s="10"/>
      <c r="C23" s="17" t="s">
        <v>3</v>
      </c>
      <c r="D23" s="17" t="s">
        <v>4</v>
      </c>
      <c r="E23" s="17" t="s">
        <v>5</v>
      </c>
      <c r="F23" s="17" t="s">
        <v>6</v>
      </c>
      <c r="G23" s="20" t="s">
        <v>35</v>
      </c>
      <c r="H23" s="12"/>
      <c r="I23" s="16"/>
      <c r="J23" s="10"/>
      <c r="K23" s="10"/>
      <c r="L23" s="2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x14ac:dyDescent="0.25">
      <c r="A24" s="10"/>
      <c r="B24" s="10"/>
      <c r="C24" s="6" t="e">
        <f>IF(VLOOKUP($C$2,Tables!$A$4:$E$10,3,0)="DS",1000,10000)</f>
        <v>#N/A</v>
      </c>
      <c r="D24" s="8" t="e">
        <f>IF(VLOOKUP($C$2,Tables!$A$4:$E$10,3,0)="DS",0,0.901*12)</f>
        <v>#N/A</v>
      </c>
      <c r="E24" s="8" t="e">
        <f>D24/12</f>
        <v>#N/A</v>
      </c>
      <c r="F24" s="9" t="e">
        <f>E24/2</f>
        <v>#N/A</v>
      </c>
      <c r="G24" s="35"/>
      <c r="H24" s="12">
        <f>IF(G24="Yes",1*SUM(H16:H16),0)</f>
        <v>0</v>
      </c>
      <c r="I24" s="16"/>
      <c r="J24" s="10"/>
      <c r="K24" s="10"/>
      <c r="L24" s="2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9" customHeight="1" x14ac:dyDescent="0.25">
      <c r="A25" s="10"/>
      <c r="B25" s="10"/>
      <c r="C25" s="10"/>
      <c r="D25" s="10"/>
      <c r="E25" s="10"/>
      <c r="F25" s="10"/>
      <c r="G25" s="10"/>
      <c r="H25" s="12"/>
      <c r="I25" s="16"/>
      <c r="J25" s="10"/>
      <c r="K25" s="10"/>
      <c r="L25" s="2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0"/>
      <c r="K26" s="10"/>
      <c r="L26" s="2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5.75" thickBo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0"/>
      <c r="K27" s="10"/>
      <c r="L27" s="22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5.75" thickTop="1" x14ac:dyDescent="0.25">
      <c r="A28" s="54" t="s">
        <v>47</v>
      </c>
      <c r="B28" s="55"/>
      <c r="C28" s="10"/>
      <c r="D28" s="10"/>
      <c r="E28" s="10"/>
      <c r="F28" s="10"/>
      <c r="G28" s="10"/>
      <c r="H28" s="10"/>
      <c r="I28" s="16"/>
      <c r="J28" s="10"/>
      <c r="K28" s="10"/>
      <c r="L28" s="2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x14ac:dyDescent="0.25">
      <c r="A29" s="56"/>
      <c r="B29" s="57"/>
      <c r="C29" s="17" t="s">
        <v>40</v>
      </c>
      <c r="D29" s="21">
        <f>D33*$H$33</f>
        <v>0</v>
      </c>
      <c r="E29" s="21" t="e">
        <f>E33*$H$33</f>
        <v>#N/A</v>
      </c>
      <c r="F29" s="21" t="e">
        <f>F33*$H$33</f>
        <v>#N/A</v>
      </c>
      <c r="G29" s="10"/>
      <c r="H29" s="10"/>
      <c r="I29" s="16"/>
      <c r="J29" s="10"/>
      <c r="K29" s="10"/>
      <c r="L29" s="2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5.75" thickBot="1" x14ac:dyDescent="0.3">
      <c r="A30" s="58"/>
      <c r="B30" s="59"/>
      <c r="C30" s="10"/>
      <c r="D30" s="10"/>
      <c r="E30" s="10"/>
      <c r="F30" s="10"/>
      <c r="G30" s="10"/>
      <c r="H30" s="10"/>
      <c r="I30" s="16"/>
      <c r="J30" s="10"/>
      <c r="K30" s="10"/>
      <c r="L30" s="22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5.75" thickTop="1" x14ac:dyDescent="0.25">
      <c r="A31" s="13" t="s">
        <v>77</v>
      </c>
      <c r="B31" s="13"/>
      <c r="C31" s="13"/>
      <c r="D31" s="13"/>
      <c r="E31" s="13"/>
      <c r="F31" s="13"/>
      <c r="G31" s="10"/>
      <c r="H31" s="10"/>
      <c r="I31" s="16"/>
      <c r="J31" s="10"/>
      <c r="K31" s="10"/>
      <c r="L31" s="22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x14ac:dyDescent="0.25">
      <c r="A32" s="10"/>
      <c r="B32" s="10"/>
      <c r="C32" s="17" t="s">
        <v>54</v>
      </c>
      <c r="D32" s="17" t="s">
        <v>4</v>
      </c>
      <c r="E32" s="17" t="s">
        <v>5</v>
      </c>
      <c r="F32" s="17" t="s">
        <v>6</v>
      </c>
      <c r="G32" s="20" t="s">
        <v>35</v>
      </c>
      <c r="H32" s="12"/>
      <c r="I32" s="16"/>
      <c r="J32" s="10"/>
      <c r="K32" s="10"/>
      <c r="L32" s="22"/>
      <c r="M32" s="10"/>
      <c r="N32" s="10"/>
      <c r="O32" s="4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x14ac:dyDescent="0.25">
      <c r="A33" s="10"/>
      <c r="B33" s="12" t="e">
        <f>IF(VLOOKUP($C$2,Tables!$A$4:$E$10,5,0)="$25K",25000,Calculator!$C$4)</f>
        <v>#N/A</v>
      </c>
      <c r="C33" s="6" t="e">
        <f>IF(VLOOKUP($C$2,Tables!$A$4:$G$10,7,0)="Yes",MIN(0.6*B33/52,1800),"N/A")</f>
        <v>#N/A</v>
      </c>
      <c r="D33" s="8">
        <f>IFERROR(E33*12,0)</f>
        <v>0</v>
      </c>
      <c r="E33" s="8" t="e">
        <f>IF(C33&lt;&gt;"N/A",(B33/100)*(0.327/12),0)</f>
        <v>#N/A</v>
      </c>
      <c r="F33" s="9" t="e">
        <f>E33/2</f>
        <v>#N/A</v>
      </c>
      <c r="G33" s="35"/>
      <c r="H33" s="12">
        <f>IF(AND(D33&gt;0,G33="Yes"),1,0)</f>
        <v>0</v>
      </c>
      <c r="I33" s="16"/>
      <c r="J33" s="10"/>
      <c r="K33" s="10"/>
      <c r="L33" s="22"/>
      <c r="M33" s="10"/>
      <c r="N33" s="10"/>
      <c r="O33" s="4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7.5" customHeight="1" x14ac:dyDescent="0.25">
      <c r="A34" s="10"/>
      <c r="B34" s="10"/>
      <c r="C34" s="10"/>
      <c r="D34" s="10"/>
      <c r="E34" s="10"/>
      <c r="F34" s="10"/>
      <c r="G34" s="10"/>
      <c r="H34" s="10"/>
      <c r="I34" s="16"/>
      <c r="J34" s="10"/>
      <c r="K34" s="10"/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0"/>
      <c r="K35" s="10"/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5.75" thickBot="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0"/>
      <c r="K36" s="10"/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5.75" thickTop="1" x14ac:dyDescent="0.25">
      <c r="A37" s="54" t="s">
        <v>56</v>
      </c>
      <c r="B37" s="55"/>
      <c r="C37" s="10"/>
      <c r="D37" s="10"/>
      <c r="E37" s="10"/>
      <c r="F37" s="10"/>
      <c r="G37" s="10"/>
      <c r="H37" s="10"/>
      <c r="I37" s="16"/>
      <c r="J37" s="10"/>
      <c r="K37" s="10"/>
      <c r="L37" s="2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x14ac:dyDescent="0.25">
      <c r="A38" s="56"/>
      <c r="B38" s="57"/>
      <c r="C38" s="17" t="s">
        <v>40</v>
      </c>
      <c r="D38" s="21">
        <f>E38*12</f>
        <v>0</v>
      </c>
      <c r="E38" s="21">
        <f>SUMPRODUCT(E42:E50,H42:H50)</f>
        <v>0</v>
      </c>
      <c r="F38" s="21">
        <f>E38/2</f>
        <v>0</v>
      </c>
      <c r="G38" s="10"/>
      <c r="H38" s="10"/>
      <c r="I38" s="16"/>
      <c r="J38" s="10"/>
      <c r="K38" s="10"/>
      <c r="L38" s="2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5.75" thickBot="1" x14ac:dyDescent="0.3">
      <c r="A39" s="58"/>
      <c r="B39" s="59"/>
      <c r="C39" s="10"/>
      <c r="D39" s="10"/>
      <c r="E39" s="10"/>
      <c r="F39" s="10"/>
      <c r="G39" s="10"/>
      <c r="H39" s="10"/>
      <c r="I39" s="16"/>
      <c r="J39" s="10"/>
      <c r="K39" s="10"/>
      <c r="L39" s="2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5.75" thickTop="1" x14ac:dyDescent="0.25">
      <c r="A40" s="13" t="s">
        <v>72</v>
      </c>
      <c r="B40" s="13"/>
      <c r="C40" s="13"/>
      <c r="D40" s="13"/>
      <c r="E40" s="13"/>
      <c r="F40" s="13"/>
      <c r="G40" s="10"/>
      <c r="H40" s="12"/>
      <c r="I40" s="16"/>
      <c r="J40" s="10"/>
      <c r="K40" s="10"/>
      <c r="L40" s="2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x14ac:dyDescent="0.25">
      <c r="A41" s="10"/>
      <c r="B41" s="10"/>
      <c r="C41" s="17" t="s">
        <v>3</v>
      </c>
      <c r="D41" s="17" t="s">
        <v>4</v>
      </c>
      <c r="E41" s="17" t="s">
        <v>5</v>
      </c>
      <c r="F41" s="17" t="s">
        <v>6</v>
      </c>
      <c r="G41" s="20" t="s">
        <v>35</v>
      </c>
      <c r="H41" s="12"/>
      <c r="I41" s="16"/>
      <c r="J41" s="10"/>
      <c r="K41" s="10"/>
      <c r="L41" s="2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x14ac:dyDescent="0.25">
      <c r="A42" s="10"/>
      <c r="B42" s="10"/>
      <c r="C42" s="36">
        <v>50000</v>
      </c>
      <c r="D42" s="8">
        <f>E42*12</f>
        <v>10.199999999999999</v>
      </c>
      <c r="E42" s="8">
        <f>VLOOKUP($C$42,Tables!$A$29:$E$39,2,0)</f>
        <v>0.85</v>
      </c>
      <c r="F42" s="9">
        <f>E42/2</f>
        <v>0.42499999999999999</v>
      </c>
      <c r="G42" s="35"/>
      <c r="H42" s="12">
        <f>IF(G42="Yes",1,0)</f>
        <v>0</v>
      </c>
      <c r="I42" s="16"/>
      <c r="J42" s="10"/>
      <c r="K42" s="10"/>
      <c r="L42" s="2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x14ac:dyDescent="0.25">
      <c r="A43" s="10"/>
      <c r="B43" s="11"/>
      <c r="C43" s="10"/>
      <c r="D43" s="11"/>
      <c r="E43" s="11"/>
      <c r="F43" s="11"/>
      <c r="G43" s="10"/>
      <c r="H43" s="12"/>
      <c r="I43" s="16"/>
      <c r="J43" s="10"/>
      <c r="K43" s="10"/>
      <c r="L43" s="2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x14ac:dyDescent="0.25">
      <c r="A44" s="13" t="s">
        <v>70</v>
      </c>
      <c r="B44" s="14"/>
      <c r="C44" s="13"/>
      <c r="D44" s="14"/>
      <c r="E44" s="13"/>
      <c r="F44" s="13"/>
      <c r="G44" s="10"/>
      <c r="H44" s="12"/>
      <c r="I44" s="16"/>
      <c r="J44" s="10"/>
      <c r="K44" s="10"/>
      <c r="L44" s="2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x14ac:dyDescent="0.25">
      <c r="A45" s="10"/>
      <c r="B45" s="11"/>
      <c r="C45" s="17" t="s">
        <v>3</v>
      </c>
      <c r="D45" s="17" t="s">
        <v>4</v>
      </c>
      <c r="E45" s="17" t="s">
        <v>5</v>
      </c>
      <c r="F45" s="17" t="s">
        <v>6</v>
      </c>
      <c r="G45" s="20" t="s">
        <v>35</v>
      </c>
      <c r="H45" s="12">
        <f>IF(G46="Yes",1,0)</f>
        <v>0</v>
      </c>
      <c r="I45" s="16"/>
      <c r="J45" s="10"/>
      <c r="K45" s="10"/>
      <c r="L45" s="2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x14ac:dyDescent="0.25">
      <c r="A46" s="10"/>
      <c r="B46" s="37">
        <v>0.5</v>
      </c>
      <c r="C46" s="6">
        <f>B46*$C$42</f>
        <v>25000</v>
      </c>
      <c r="D46" s="8">
        <f>E46*12</f>
        <v>5.16</v>
      </c>
      <c r="E46" s="8">
        <f>VLOOKUP($C$42,Tables!$A$29:$E$39,2+B46/0.5,0)</f>
        <v>0.43</v>
      </c>
      <c r="F46" s="9">
        <f>E46/2</f>
        <v>0.215</v>
      </c>
      <c r="G46" s="35"/>
      <c r="H46" s="12">
        <f>IF(G46="Yes",1*$H$42,0)</f>
        <v>0</v>
      </c>
      <c r="I46" s="16"/>
      <c r="J46" s="10"/>
      <c r="K46" s="10"/>
      <c r="L46" s="2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x14ac:dyDescent="0.25">
      <c r="A47" s="10"/>
      <c r="B47" s="10"/>
      <c r="C47" s="10"/>
      <c r="D47" s="11"/>
      <c r="E47" s="11"/>
      <c r="F47" s="11"/>
      <c r="G47" s="10"/>
      <c r="H47" s="12"/>
      <c r="I47" s="16"/>
      <c r="J47" s="10"/>
      <c r="K47" s="10"/>
      <c r="L47" s="2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x14ac:dyDescent="0.25">
      <c r="A48" s="13" t="s">
        <v>71</v>
      </c>
      <c r="B48" s="14"/>
      <c r="C48" s="13"/>
      <c r="D48" s="13"/>
      <c r="E48" s="13"/>
      <c r="F48" s="13"/>
      <c r="G48" s="10"/>
      <c r="H48" s="12"/>
      <c r="I48" s="16"/>
      <c r="J48" s="10"/>
      <c r="K48" s="10"/>
      <c r="L48" s="2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x14ac:dyDescent="0.25">
      <c r="A49" s="10"/>
      <c r="B49" s="10"/>
      <c r="C49" s="17" t="s">
        <v>3</v>
      </c>
      <c r="D49" s="17" t="s">
        <v>4</v>
      </c>
      <c r="E49" s="17" t="s">
        <v>5</v>
      </c>
      <c r="F49" s="17" t="s">
        <v>6</v>
      </c>
      <c r="G49" s="20" t="s">
        <v>35</v>
      </c>
      <c r="H49" s="12"/>
      <c r="I49" s="16"/>
      <c r="J49" s="10"/>
      <c r="K49" s="10"/>
      <c r="L49" s="2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x14ac:dyDescent="0.25">
      <c r="A50" s="10"/>
      <c r="B50" s="38">
        <v>0.1</v>
      </c>
      <c r="C50" s="6">
        <f>B50*$C$42</f>
        <v>5000</v>
      </c>
      <c r="D50" s="8">
        <f>E50*12</f>
        <v>3</v>
      </c>
      <c r="E50" s="8">
        <f>VLOOKUP($C$42,Tables!$A$29:$E$39,5,0)</f>
        <v>0.25</v>
      </c>
      <c r="F50" s="9">
        <f>E50/2</f>
        <v>0.125</v>
      </c>
      <c r="G50" s="35"/>
      <c r="H50" s="12">
        <f>IF(G50="Yes",1*$H$42,0)</f>
        <v>0</v>
      </c>
      <c r="I50" s="16"/>
      <c r="J50" s="10"/>
      <c r="K50" s="10"/>
      <c r="L50" s="2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7.5" customHeight="1" x14ac:dyDescent="0.25">
      <c r="A51" s="10"/>
      <c r="B51" s="10"/>
      <c r="C51" s="10"/>
      <c r="D51" s="10"/>
      <c r="E51" s="10"/>
      <c r="F51" s="10"/>
      <c r="G51" s="10"/>
      <c r="H51" s="12"/>
      <c r="I51" s="16"/>
      <c r="J51" s="10"/>
      <c r="K51" s="10"/>
      <c r="L51" s="2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0"/>
      <c r="K52" s="10"/>
      <c r="L52" s="2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0"/>
      <c r="K53" s="10"/>
      <c r="L53" s="2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22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2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2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2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2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22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2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22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22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22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22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22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2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2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22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22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2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2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2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</sheetData>
  <sheetProtection algorithmName="SHA-512" hashValue="2IW1XotvJINO5SF2cUAcZGHIK+Y5DMJeRSsjLcnG9Sn0w9KS6xONSC5ObENtLceoijVtLJynKrZuqKWft5PvxA==" saltValue="e7DAoodtc9PalepAUJXwag==" spinCount="100000" sheet="1" selectLockedCells="1"/>
  <mergeCells count="5">
    <mergeCell ref="K1:M1"/>
    <mergeCell ref="A11:B13"/>
    <mergeCell ref="A28:B30"/>
    <mergeCell ref="A37:B39"/>
    <mergeCell ref="E1:F1"/>
  </mergeCells>
  <conditionalFormatting sqref="C24:F25 C11:F11 C20:F20 D42:F42 C13:F16 C46">
    <cfRule type="expression" dxfId="33" priority="48">
      <formula>$H11=1</formula>
    </cfRule>
  </conditionalFormatting>
  <conditionalFormatting sqref="C8:F8">
    <cfRule type="expression" dxfId="32" priority="53">
      <formula>$H12=1</formula>
    </cfRule>
  </conditionalFormatting>
  <conditionalFormatting sqref="D12:F12">
    <cfRule type="expression" dxfId="31" priority="47">
      <formula>$H15=1</formula>
    </cfRule>
  </conditionalFormatting>
  <conditionalFormatting sqref="C12">
    <cfRule type="expression" dxfId="30" priority="46">
      <formula>$H12=1</formula>
    </cfRule>
  </conditionalFormatting>
  <conditionalFormatting sqref="A11">
    <cfRule type="expression" dxfId="29" priority="45">
      <formula>$H11=1</formula>
    </cfRule>
  </conditionalFormatting>
  <conditionalFormatting sqref="C28:F28 C30:F30">
    <cfRule type="expression" dxfId="28" priority="37">
      <formula>$H28=1</formula>
    </cfRule>
  </conditionalFormatting>
  <conditionalFormatting sqref="D29:F29">
    <cfRule type="expression" dxfId="27" priority="36">
      <formula>$H32=1</formula>
    </cfRule>
  </conditionalFormatting>
  <conditionalFormatting sqref="C29">
    <cfRule type="expression" dxfId="26" priority="35">
      <formula>$H29=1</formula>
    </cfRule>
  </conditionalFormatting>
  <conditionalFormatting sqref="A28">
    <cfRule type="expression" dxfId="25" priority="34">
      <formula>$H28=1</formula>
    </cfRule>
  </conditionalFormatting>
  <conditionalFormatting sqref="B31:F31">
    <cfRule type="expression" dxfId="24" priority="33">
      <formula>$H31=1</formula>
    </cfRule>
  </conditionalFormatting>
  <conditionalFormatting sqref="E4">
    <cfRule type="expression" dxfId="23" priority="30">
      <formula>$H$24&gt;0</formula>
    </cfRule>
  </conditionalFormatting>
  <conditionalFormatting sqref="C33:F33">
    <cfRule type="expression" dxfId="22" priority="29">
      <formula>$H33=1</formula>
    </cfRule>
  </conditionalFormatting>
  <conditionalFormatting sqref="F2">
    <cfRule type="expression" dxfId="21" priority="28">
      <formula>$H$33&gt;0</formula>
    </cfRule>
  </conditionalFormatting>
  <conditionalFormatting sqref="C37:F37 C39:F39">
    <cfRule type="expression" dxfId="20" priority="26">
      <formula>$H37=1</formula>
    </cfRule>
  </conditionalFormatting>
  <conditionalFormatting sqref="D38:F38">
    <cfRule type="expression" dxfId="19" priority="25">
      <formula>$H41=1</formula>
    </cfRule>
  </conditionalFormatting>
  <conditionalFormatting sqref="C38">
    <cfRule type="expression" dxfId="18" priority="24">
      <formula>$H38=1</formula>
    </cfRule>
  </conditionalFormatting>
  <conditionalFormatting sqref="A37">
    <cfRule type="expression" dxfId="17" priority="23">
      <formula>$H37=1</formula>
    </cfRule>
  </conditionalFormatting>
  <conditionalFormatting sqref="E3">
    <cfRule type="expression" dxfId="16" priority="55">
      <formula>$H$20&gt;0</formula>
    </cfRule>
  </conditionalFormatting>
  <conditionalFormatting sqref="C51:F51 F50">
    <cfRule type="expression" dxfId="15" priority="22">
      <formula>$H50=1</formula>
    </cfRule>
  </conditionalFormatting>
  <conditionalFormatting sqref="F46">
    <cfRule type="expression" dxfId="14" priority="21">
      <formula>$H46=1</formula>
    </cfRule>
  </conditionalFormatting>
  <conditionalFormatting sqref="C50">
    <cfRule type="expression" dxfId="13" priority="20">
      <formula>$H50=1</formula>
    </cfRule>
  </conditionalFormatting>
  <conditionalFormatting sqref="D46">
    <cfRule type="expression" dxfId="12" priority="10">
      <formula>$H46=1</formula>
    </cfRule>
  </conditionalFormatting>
  <conditionalFormatting sqref="E46">
    <cfRule type="expression" dxfId="11" priority="13">
      <formula>$H46=1</formula>
    </cfRule>
  </conditionalFormatting>
  <conditionalFormatting sqref="E50">
    <cfRule type="expression" dxfId="10" priority="11">
      <formula>$H50=1</formula>
    </cfRule>
  </conditionalFormatting>
  <conditionalFormatting sqref="D50">
    <cfRule type="expression" dxfId="9" priority="8">
      <formula>$H50=1</formula>
    </cfRule>
  </conditionalFormatting>
  <conditionalFormatting sqref="F3">
    <cfRule type="expression" dxfId="8" priority="7">
      <formula>$H$42&gt;0</formula>
    </cfRule>
  </conditionalFormatting>
  <conditionalFormatting sqref="C10:F10">
    <cfRule type="expression" dxfId="7" priority="6">
      <formula>$H10=1</formula>
    </cfRule>
  </conditionalFormatting>
  <conditionalFormatting sqref="F5">
    <cfRule type="expression" dxfId="6" priority="4">
      <formula>$H$50&gt;0</formula>
    </cfRule>
  </conditionalFormatting>
  <conditionalFormatting sqref="E2">
    <cfRule type="expression" dxfId="5" priority="57">
      <formula>SUM($H$16:$H$16)&gt;0</formula>
    </cfRule>
  </conditionalFormatting>
  <conditionalFormatting sqref="F4">
    <cfRule type="expression" dxfId="4" priority="59">
      <formula>SUM($H$46:$H$46)&gt;0</formula>
    </cfRule>
  </conditionalFormatting>
  <conditionalFormatting sqref="G19:G24">
    <cfRule type="expression" dxfId="3" priority="3">
      <formula>$H$16=0</formula>
    </cfRule>
  </conditionalFormatting>
  <conditionalFormatting sqref="A11:H51">
    <cfRule type="expression" dxfId="2" priority="1">
      <formula>$D$1&lt;3</formula>
    </cfRule>
  </conditionalFormatting>
  <dataValidations count="3">
    <dataValidation type="list" allowBlank="1" showInputMessage="1" showErrorMessage="1" error="Select &quot;Yes&quot; or &quot;No&quot;" sqref="G16 G20 G24 G33 G42 G46 G50" xr:uid="{00000000-0002-0000-0000-000000000000}">
      <formula1>"Yes,No"</formula1>
    </dataValidation>
    <dataValidation type="list" allowBlank="1" showInputMessage="1" showErrorMessage="1" sqref="B16" xr:uid="{00000000-0002-0000-0000-000001000000}">
      <formula1>"1x,2x,3x,4x,5x,6x"</formula1>
    </dataValidation>
    <dataValidation type="list" allowBlank="1" showInputMessage="1" showErrorMessage="1" sqref="B46" xr:uid="{00000000-0002-0000-0000-000002000000}">
      <formula1>"50%,100%"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0" id="{9EF2959F-8422-417F-AA33-D5D89C0F46F7}">
            <xm:f>VLOOKUP($C$2,Tables!$A$4:$B$10,2,0)="$25K Increments"</xm:f>
            <x14:dxf>
              <font>
                <b/>
                <i val="0"/>
                <color rgb="FF9933FF"/>
              </font>
              <fill>
                <patternFill patternType="solid">
                  <bgColor theme="4" tint="0.59996337778862885"/>
                </patternFill>
              </fill>
            </x14:dxf>
          </x14:cfRule>
          <xm:sqref>B5:C5</xm:sqref>
        </x14:conditionalFormatting>
        <x14:conditionalFormatting xmlns:xm="http://schemas.microsoft.com/office/excel/2006/main">
          <x14:cfRule type="expression" priority="61" id="{7FF32321-1115-45D9-8E7D-77F2DA8BEF53}">
            <xm:f>VLOOKUP($C$2,Tables!$A$4:$E$10,5,0)="$25K"</xm:f>
            <x14:dxf>
              <font>
                <color rgb="FF9933FF"/>
              </font>
            </x14:dxf>
          </x14:cfRule>
          <xm:sqref>C4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Tables!$A$30:$A$39</xm:f>
          </x14:formula1>
          <xm:sqref>C42</xm:sqref>
        </x14:dataValidation>
        <x14:dataValidation type="list" allowBlank="1" showInputMessage="1" showErrorMessage="1" xr:uid="{00000000-0002-0000-0000-000004000000}">
          <x14:formula1>
            <xm:f>Tables!$A$5:$A$10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9"/>
  <sheetViews>
    <sheetView workbookViewId="0"/>
  </sheetViews>
  <sheetFormatPr defaultColWidth="13.28515625" defaultRowHeight="15" x14ac:dyDescent="0.25"/>
  <cols>
    <col min="1" max="1" width="24.28515625" style="1" bestFit="1" customWidth="1"/>
    <col min="2" max="2" width="23.42578125" style="2" customWidth="1"/>
    <col min="3" max="3" width="18.28515625" style="2" bestFit="1" customWidth="1"/>
    <col min="4" max="4" width="19.28515625" style="2" bestFit="1" customWidth="1"/>
    <col min="5" max="5" width="20.7109375" style="2" bestFit="1" customWidth="1"/>
    <col min="6" max="7" width="13.28515625" style="2"/>
  </cols>
  <sheetData>
    <row r="1" spans="1:24" x14ac:dyDescent="0.25">
      <c r="A1" s="4" t="s">
        <v>37</v>
      </c>
      <c r="B1" s="2">
        <v>400000</v>
      </c>
      <c r="X1" s="52" t="s">
        <v>79</v>
      </c>
    </row>
    <row r="4" spans="1:24" x14ac:dyDescent="0.25">
      <c r="A4" s="4" t="s">
        <v>16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43</v>
      </c>
      <c r="G4" s="2" t="s">
        <v>52</v>
      </c>
      <c r="H4" s="2" t="s">
        <v>76</v>
      </c>
    </row>
    <row r="5" spans="1:24" x14ac:dyDescent="0.25">
      <c r="A5" s="3" t="s">
        <v>49</v>
      </c>
      <c r="B5" s="5" t="s">
        <v>18</v>
      </c>
      <c r="C5" s="2" t="s">
        <v>19</v>
      </c>
      <c r="D5" s="7">
        <v>4</v>
      </c>
      <c r="E5" s="2" t="s">
        <v>27</v>
      </c>
      <c r="F5" s="2" t="s">
        <v>42</v>
      </c>
      <c r="G5" s="2" t="s">
        <v>42</v>
      </c>
      <c r="H5" s="43">
        <v>750000</v>
      </c>
    </row>
    <row r="6" spans="1:24" x14ac:dyDescent="0.25">
      <c r="A6" s="3" t="s">
        <v>48</v>
      </c>
      <c r="B6" s="5" t="s">
        <v>17</v>
      </c>
      <c r="C6" s="2" t="s">
        <v>20</v>
      </c>
      <c r="D6" s="7">
        <v>10</v>
      </c>
      <c r="E6" s="2" t="s">
        <v>34</v>
      </c>
      <c r="F6" s="2" t="s">
        <v>42</v>
      </c>
      <c r="G6" s="2" t="s">
        <v>42</v>
      </c>
      <c r="H6" s="43">
        <v>400000</v>
      </c>
    </row>
    <row r="7" spans="1:24" x14ac:dyDescent="0.25">
      <c r="A7" s="3" t="s">
        <v>14</v>
      </c>
      <c r="B7" s="5" t="s">
        <v>18</v>
      </c>
      <c r="C7" s="2" t="s">
        <v>21</v>
      </c>
      <c r="D7" s="7">
        <v>6</v>
      </c>
      <c r="E7" s="2" t="s">
        <v>27</v>
      </c>
      <c r="F7" s="2" t="s">
        <v>42</v>
      </c>
      <c r="G7" s="2" t="s">
        <v>42</v>
      </c>
      <c r="H7" s="43">
        <v>400000</v>
      </c>
    </row>
    <row r="8" spans="1:24" x14ac:dyDescent="0.25">
      <c r="A8" s="3" t="s">
        <v>2</v>
      </c>
      <c r="B8" s="5" t="s">
        <v>18</v>
      </c>
      <c r="C8" s="2" t="s">
        <v>8</v>
      </c>
      <c r="D8" s="7">
        <v>2</v>
      </c>
      <c r="E8" s="2" t="s">
        <v>27</v>
      </c>
      <c r="F8" s="2" t="s">
        <v>36</v>
      </c>
      <c r="G8" s="2" t="s">
        <v>42</v>
      </c>
      <c r="H8" s="43">
        <v>750000</v>
      </c>
    </row>
    <row r="9" spans="1:24" x14ac:dyDescent="0.25">
      <c r="A9" s="3" t="s">
        <v>73</v>
      </c>
      <c r="B9" s="5" t="s">
        <v>18</v>
      </c>
      <c r="C9" s="2" t="s">
        <v>53</v>
      </c>
      <c r="D9" s="7">
        <v>2</v>
      </c>
      <c r="E9" s="2" t="s">
        <v>27</v>
      </c>
      <c r="F9" s="2" t="s">
        <v>42</v>
      </c>
      <c r="G9" s="2" t="s">
        <v>36</v>
      </c>
      <c r="H9" s="43">
        <v>400000</v>
      </c>
    </row>
    <row r="10" spans="1:24" x14ac:dyDescent="0.25">
      <c r="A10" s="3" t="s">
        <v>15</v>
      </c>
      <c r="B10" s="5" t="s">
        <v>17</v>
      </c>
      <c r="C10" s="2" t="s">
        <v>22</v>
      </c>
      <c r="D10" s="7">
        <v>8</v>
      </c>
      <c r="E10" s="2" t="s">
        <v>34</v>
      </c>
      <c r="F10" s="2" t="s">
        <v>42</v>
      </c>
      <c r="G10" s="2" t="s">
        <v>36</v>
      </c>
      <c r="H10" s="43">
        <v>400000</v>
      </c>
    </row>
    <row r="11" spans="1:24" x14ac:dyDescent="0.25">
      <c r="A11" s="3"/>
      <c r="D11" s="7"/>
    </row>
    <row r="12" spans="1:24" x14ac:dyDescent="0.25">
      <c r="A12" s="3"/>
      <c r="D12" s="7"/>
    </row>
    <row r="14" spans="1:24" x14ac:dyDescent="0.25">
      <c r="A14" s="45" t="s">
        <v>13</v>
      </c>
    </row>
    <row r="15" spans="1:24" x14ac:dyDescent="0.25">
      <c r="A15" s="1" t="s">
        <v>7</v>
      </c>
      <c r="B15" s="46" t="s">
        <v>10</v>
      </c>
      <c r="C15" s="46" t="s">
        <v>9</v>
      </c>
      <c r="D15" s="46" t="s">
        <v>30</v>
      </c>
      <c r="E15" s="46" t="s">
        <v>31</v>
      </c>
      <c r="F15" s="46" t="s">
        <v>11</v>
      </c>
      <c r="G15" s="46" t="s">
        <v>12</v>
      </c>
      <c r="H15" s="46" t="s">
        <v>28</v>
      </c>
      <c r="I15" s="46" t="s">
        <v>29</v>
      </c>
      <c r="J15" s="46" t="s">
        <v>32</v>
      </c>
      <c r="K15" s="46" t="s">
        <v>33</v>
      </c>
    </row>
    <row r="16" spans="1:24" x14ac:dyDescent="0.25">
      <c r="A16" s="1">
        <v>0</v>
      </c>
      <c r="B16" s="50">
        <v>3.4000000000000002E-2</v>
      </c>
      <c r="C16" s="50">
        <v>4.3999999999999997E-2</v>
      </c>
      <c r="D16" s="50">
        <v>3.4000000000000002E-2</v>
      </c>
      <c r="E16" s="50">
        <v>4.3999999999999997E-2</v>
      </c>
      <c r="F16" s="50">
        <v>3.4000000000000002E-2</v>
      </c>
      <c r="G16" s="50">
        <v>4.3999999999999997E-2</v>
      </c>
      <c r="H16" s="50">
        <v>3.4000000000000002E-2</v>
      </c>
      <c r="I16" s="50">
        <v>4.3999999999999997E-2</v>
      </c>
      <c r="J16" s="50">
        <v>3.4000000000000002E-2</v>
      </c>
      <c r="K16" s="50">
        <v>4.3999999999999997E-2</v>
      </c>
      <c r="L16" s="47"/>
    </row>
    <row r="17" spans="1:12" x14ac:dyDescent="0.25">
      <c r="A17" s="1">
        <v>25</v>
      </c>
      <c r="B17" s="50">
        <v>4.1000000000000002E-2</v>
      </c>
      <c r="C17" s="50">
        <v>5.3999999999999999E-2</v>
      </c>
      <c r="D17" s="50">
        <v>4.1000000000000002E-2</v>
      </c>
      <c r="E17" s="50">
        <v>5.3999999999999999E-2</v>
      </c>
      <c r="F17" s="50">
        <v>4.1000000000000002E-2</v>
      </c>
      <c r="G17" s="50">
        <v>5.3999999999999999E-2</v>
      </c>
      <c r="H17" s="50">
        <v>4.1000000000000002E-2</v>
      </c>
      <c r="I17" s="50">
        <v>5.3999999999999999E-2</v>
      </c>
      <c r="J17" s="50">
        <v>4.1000000000000002E-2</v>
      </c>
      <c r="K17" s="50">
        <v>5.3999999999999999E-2</v>
      </c>
    </row>
    <row r="18" spans="1:12" x14ac:dyDescent="0.25">
      <c r="A18" s="1">
        <f>A17+5</f>
        <v>30</v>
      </c>
      <c r="B18" s="50">
        <v>5.6000000000000001E-2</v>
      </c>
      <c r="C18" s="50">
        <v>7.0999999999999994E-2</v>
      </c>
      <c r="D18" s="50">
        <v>5.6000000000000001E-2</v>
      </c>
      <c r="E18" s="50">
        <v>7.0999999999999994E-2</v>
      </c>
      <c r="F18" s="50">
        <v>5.6000000000000001E-2</v>
      </c>
      <c r="G18" s="50">
        <v>7.0999999999999994E-2</v>
      </c>
      <c r="H18" s="50">
        <v>5.6000000000000001E-2</v>
      </c>
      <c r="I18" s="50">
        <v>7.0999999999999994E-2</v>
      </c>
      <c r="J18" s="50">
        <v>5.6000000000000001E-2</v>
      </c>
      <c r="K18" s="50">
        <v>7.0999999999999994E-2</v>
      </c>
    </row>
    <row r="19" spans="1:12" x14ac:dyDescent="0.25">
      <c r="A19" s="1">
        <f t="shared" ref="A19:A25" si="0">A18+5</f>
        <v>35</v>
      </c>
      <c r="B19" s="50">
        <v>5.6000000000000001E-2</v>
      </c>
      <c r="C19" s="50">
        <v>0.08</v>
      </c>
      <c r="D19" s="50">
        <v>5.6000000000000001E-2</v>
      </c>
      <c r="E19" s="50">
        <v>0.08</v>
      </c>
      <c r="F19" s="50">
        <v>5.6000000000000001E-2</v>
      </c>
      <c r="G19" s="50">
        <v>0.08</v>
      </c>
      <c r="H19" s="50">
        <v>5.6000000000000001E-2</v>
      </c>
      <c r="I19" s="50">
        <v>0.08</v>
      </c>
      <c r="J19" s="50">
        <v>5.6000000000000001E-2</v>
      </c>
      <c r="K19" s="50">
        <v>0.08</v>
      </c>
    </row>
    <row r="20" spans="1:12" x14ac:dyDescent="0.25">
      <c r="A20" s="1">
        <f t="shared" si="0"/>
        <v>40</v>
      </c>
      <c r="B20" s="50">
        <v>7.0999999999999994E-2</v>
      </c>
      <c r="C20" s="50">
        <v>8.8999999999999996E-2</v>
      </c>
      <c r="D20" s="50">
        <v>7.0999999999999994E-2</v>
      </c>
      <c r="E20" s="50">
        <v>8.8999999999999996E-2</v>
      </c>
      <c r="F20" s="50">
        <v>7.0999999999999994E-2</v>
      </c>
      <c r="G20" s="50">
        <v>8.8999999999999996E-2</v>
      </c>
      <c r="H20" s="50">
        <v>7.0999999999999994E-2</v>
      </c>
      <c r="I20" s="50">
        <v>8.8999999999999996E-2</v>
      </c>
      <c r="J20" s="50">
        <v>7.0999999999999994E-2</v>
      </c>
      <c r="K20" s="50">
        <v>8.8999999999999996E-2</v>
      </c>
    </row>
    <row r="21" spans="1:12" x14ac:dyDescent="0.25">
      <c r="A21" s="1">
        <f t="shared" si="0"/>
        <v>45</v>
      </c>
      <c r="B21" s="50">
        <v>0.113</v>
      </c>
      <c r="C21" s="50">
        <v>0.13300000000000001</v>
      </c>
      <c r="D21" s="50">
        <v>0.113</v>
      </c>
      <c r="E21" s="50">
        <v>0.13300000000000001</v>
      </c>
      <c r="F21" s="50">
        <v>0.113</v>
      </c>
      <c r="G21" s="50">
        <v>0.13300000000000001</v>
      </c>
      <c r="H21" s="50">
        <v>0.113</v>
      </c>
      <c r="I21" s="50">
        <v>0.13300000000000001</v>
      </c>
      <c r="J21" s="50">
        <v>0.113</v>
      </c>
      <c r="K21" s="50">
        <v>0.13300000000000001</v>
      </c>
    </row>
    <row r="22" spans="1:12" x14ac:dyDescent="0.25">
      <c r="A22" s="1">
        <f t="shared" si="0"/>
        <v>50</v>
      </c>
      <c r="B22" s="50">
        <v>0.19500000000000001</v>
      </c>
      <c r="C22" s="50">
        <v>0.20399999999999999</v>
      </c>
      <c r="D22" s="50">
        <v>0.19500000000000001</v>
      </c>
      <c r="E22" s="50">
        <v>0.20399999999999999</v>
      </c>
      <c r="F22" s="50">
        <v>0.19500000000000001</v>
      </c>
      <c r="G22" s="50">
        <v>0.20399999999999999</v>
      </c>
      <c r="H22" s="50">
        <v>0.19500000000000001</v>
      </c>
      <c r="I22" s="50">
        <v>0.20399999999999999</v>
      </c>
      <c r="J22" s="50">
        <v>0.19500000000000001</v>
      </c>
      <c r="K22" s="50">
        <v>0.20399999999999999</v>
      </c>
    </row>
    <row r="23" spans="1:12" x14ac:dyDescent="0.25">
      <c r="A23" s="1">
        <f t="shared" si="0"/>
        <v>55</v>
      </c>
      <c r="B23" s="50">
        <v>0.34599999999999997</v>
      </c>
      <c r="C23" s="50">
        <v>0.38200000000000001</v>
      </c>
      <c r="D23" s="50">
        <v>0.34599999999999997</v>
      </c>
      <c r="E23" s="50">
        <v>0.38200000000000001</v>
      </c>
      <c r="F23" s="50">
        <v>0.34599999999999997</v>
      </c>
      <c r="G23" s="50">
        <v>0.38200000000000001</v>
      </c>
      <c r="H23" s="50">
        <v>0.34599999999999997</v>
      </c>
      <c r="I23" s="50">
        <v>0.38200000000000001</v>
      </c>
      <c r="J23" s="50">
        <v>0.34599999999999997</v>
      </c>
      <c r="K23" s="50">
        <v>0.38200000000000001</v>
      </c>
    </row>
    <row r="24" spans="1:12" x14ac:dyDescent="0.25">
      <c r="A24" s="1">
        <f t="shared" si="0"/>
        <v>60</v>
      </c>
      <c r="B24" s="50">
        <v>0.46200000000000002</v>
      </c>
      <c r="C24" s="50">
        <v>0.58699999999999997</v>
      </c>
      <c r="D24" s="50">
        <v>0.46200000000000002</v>
      </c>
      <c r="E24" s="50">
        <v>0.58699999999999997</v>
      </c>
      <c r="F24" s="50">
        <v>0.46200000000000002</v>
      </c>
      <c r="G24" s="50">
        <v>0.58699999999999997</v>
      </c>
      <c r="H24" s="50">
        <v>0.46200000000000002</v>
      </c>
      <c r="I24" s="50">
        <v>0.58699999999999997</v>
      </c>
      <c r="J24" s="50">
        <v>0.46200000000000002</v>
      </c>
      <c r="K24" s="50">
        <v>0.58699999999999997</v>
      </c>
    </row>
    <row r="25" spans="1:12" x14ac:dyDescent="0.25">
      <c r="A25" s="1">
        <f t="shared" si="0"/>
        <v>65</v>
      </c>
      <c r="B25" s="50">
        <v>0.79</v>
      </c>
      <c r="C25" s="50">
        <v>1.129</v>
      </c>
      <c r="D25" s="50">
        <v>0.79</v>
      </c>
      <c r="E25" s="50">
        <v>1.129</v>
      </c>
      <c r="F25" s="50">
        <v>0.79</v>
      </c>
      <c r="G25" s="50">
        <v>1.129</v>
      </c>
      <c r="H25" s="50">
        <v>0.79</v>
      </c>
      <c r="I25" s="50">
        <v>1.129</v>
      </c>
      <c r="J25" s="50">
        <v>0.79</v>
      </c>
      <c r="K25" s="50">
        <v>1.129</v>
      </c>
    </row>
    <row r="26" spans="1:12" x14ac:dyDescent="0.25">
      <c r="A26" s="1">
        <f>A25+5</f>
        <v>70</v>
      </c>
      <c r="B26" s="50">
        <v>1.284</v>
      </c>
      <c r="C26" s="50">
        <v>1.831</v>
      </c>
      <c r="D26" s="50">
        <v>1.284</v>
      </c>
      <c r="E26" s="50">
        <v>1.831</v>
      </c>
      <c r="F26" s="50">
        <v>1.284</v>
      </c>
      <c r="G26" s="50">
        <v>1.831</v>
      </c>
      <c r="H26" s="50">
        <v>1.284</v>
      </c>
      <c r="I26" s="50">
        <v>1.831</v>
      </c>
      <c r="J26" s="50">
        <v>1.284</v>
      </c>
      <c r="K26" s="50">
        <v>1.831</v>
      </c>
    </row>
    <row r="29" spans="1:12" x14ac:dyDescent="0.25">
      <c r="A29" s="45" t="s">
        <v>56</v>
      </c>
      <c r="B29" s="46" t="s">
        <v>57</v>
      </c>
      <c r="C29" s="46" t="s">
        <v>58</v>
      </c>
      <c r="D29" s="46" t="s">
        <v>59</v>
      </c>
      <c r="E29" s="46" t="s">
        <v>60</v>
      </c>
      <c r="K29" s="2"/>
      <c r="L29" s="51"/>
    </row>
    <row r="30" spans="1:12" x14ac:dyDescent="0.25">
      <c r="A30" s="25">
        <v>50000</v>
      </c>
      <c r="B30" s="2">
        <v>0.85</v>
      </c>
      <c r="C30" s="2">
        <v>0.43</v>
      </c>
      <c r="D30" s="2">
        <v>0.85</v>
      </c>
      <c r="E30" s="2">
        <v>0.25</v>
      </c>
      <c r="H30" s="2"/>
      <c r="I30" s="2"/>
      <c r="J30" s="44"/>
    </row>
    <row r="31" spans="1:12" x14ac:dyDescent="0.25">
      <c r="A31" s="25">
        <f>A30+50000</f>
        <v>100000</v>
      </c>
      <c r="B31" s="2">
        <v>1.7</v>
      </c>
      <c r="C31" s="2">
        <v>0.85</v>
      </c>
      <c r="D31" s="2">
        <v>1.7</v>
      </c>
      <c r="E31" s="2">
        <f>E30+0.25</f>
        <v>0.5</v>
      </c>
      <c r="H31" s="2"/>
      <c r="I31" s="2"/>
      <c r="J31" s="44"/>
    </row>
    <row r="32" spans="1:12" x14ac:dyDescent="0.25">
      <c r="A32" s="25">
        <f t="shared" ref="A32:A39" si="1">A31+50000</f>
        <v>150000</v>
      </c>
      <c r="B32" s="2">
        <v>2.5499999999999998</v>
      </c>
      <c r="C32" s="2">
        <v>1.28</v>
      </c>
      <c r="D32" s="2">
        <v>2.5499999999999998</v>
      </c>
      <c r="E32" s="2">
        <f t="shared" ref="E32:E39" si="2">E31+0.25</f>
        <v>0.75</v>
      </c>
      <c r="H32" s="2"/>
      <c r="I32" s="2"/>
      <c r="J32" s="44"/>
    </row>
    <row r="33" spans="1:10" x14ac:dyDescent="0.25">
      <c r="A33" s="25">
        <f t="shared" si="1"/>
        <v>200000</v>
      </c>
      <c r="B33" s="2">
        <v>3.4</v>
      </c>
      <c r="C33" s="2">
        <v>1.7</v>
      </c>
      <c r="D33" s="2">
        <v>3.4</v>
      </c>
      <c r="E33" s="2">
        <f t="shared" si="2"/>
        <v>1</v>
      </c>
      <c r="H33" s="2"/>
      <c r="I33" s="2"/>
      <c r="J33" s="44"/>
    </row>
    <row r="34" spans="1:10" x14ac:dyDescent="0.25">
      <c r="A34" s="25">
        <f t="shared" si="1"/>
        <v>250000</v>
      </c>
      <c r="B34" s="2">
        <v>4.25</v>
      </c>
      <c r="C34" s="2">
        <v>2.13</v>
      </c>
      <c r="D34" s="2">
        <v>4.25</v>
      </c>
      <c r="E34" s="2">
        <f t="shared" si="2"/>
        <v>1.25</v>
      </c>
      <c r="H34" s="2"/>
      <c r="I34" s="2"/>
      <c r="J34" s="44"/>
    </row>
    <row r="35" spans="1:10" x14ac:dyDescent="0.25">
      <c r="A35" s="25">
        <f t="shared" si="1"/>
        <v>300000</v>
      </c>
      <c r="B35" s="2">
        <v>5.0999999999999996</v>
      </c>
      <c r="C35" s="2">
        <v>2.5499999999999998</v>
      </c>
      <c r="D35" s="2">
        <v>5.0999999999999996</v>
      </c>
      <c r="E35" s="2">
        <f t="shared" si="2"/>
        <v>1.5</v>
      </c>
      <c r="H35" s="2"/>
      <c r="I35" s="2"/>
      <c r="J35" s="44"/>
    </row>
    <row r="36" spans="1:10" x14ac:dyDescent="0.25">
      <c r="A36" s="25">
        <f t="shared" si="1"/>
        <v>350000</v>
      </c>
      <c r="B36" s="2">
        <v>5.95</v>
      </c>
      <c r="C36" s="2">
        <v>2.98</v>
      </c>
      <c r="D36" s="2">
        <v>5.95</v>
      </c>
      <c r="E36" s="2">
        <f t="shared" si="2"/>
        <v>1.75</v>
      </c>
      <c r="H36" s="2"/>
      <c r="I36" s="2"/>
      <c r="J36" s="44"/>
    </row>
    <row r="37" spans="1:10" x14ac:dyDescent="0.25">
      <c r="A37" s="25">
        <f t="shared" si="1"/>
        <v>400000</v>
      </c>
      <c r="B37" s="2">
        <v>6.8</v>
      </c>
      <c r="C37" s="2">
        <v>3.4</v>
      </c>
      <c r="D37" s="2">
        <v>6.8</v>
      </c>
      <c r="E37" s="2">
        <f t="shared" si="2"/>
        <v>2</v>
      </c>
      <c r="H37" s="2"/>
      <c r="I37" s="2"/>
      <c r="J37" s="44"/>
    </row>
    <row r="38" spans="1:10" x14ac:dyDescent="0.25">
      <c r="A38" s="25">
        <f t="shared" si="1"/>
        <v>450000</v>
      </c>
      <c r="B38" s="2">
        <v>7.65</v>
      </c>
      <c r="C38" s="2">
        <v>3.83</v>
      </c>
      <c r="D38" s="2">
        <v>7.65</v>
      </c>
      <c r="E38" s="2">
        <f t="shared" si="2"/>
        <v>2.25</v>
      </c>
      <c r="H38" s="2"/>
      <c r="I38" s="2"/>
      <c r="J38" s="44"/>
    </row>
    <row r="39" spans="1:10" x14ac:dyDescent="0.25">
      <c r="A39" s="25">
        <f t="shared" si="1"/>
        <v>500000</v>
      </c>
      <c r="B39" s="2">
        <v>8.5</v>
      </c>
      <c r="C39" s="2">
        <v>4.25</v>
      </c>
      <c r="D39" s="2">
        <v>8.5</v>
      </c>
      <c r="E39" s="2">
        <f t="shared" si="2"/>
        <v>2.5</v>
      </c>
      <c r="H39" s="2"/>
      <c r="I39" s="2"/>
      <c r="J39" s="44"/>
    </row>
  </sheetData>
  <sheetProtection algorithmName="SHA-512" hashValue="gkEZf20qaWICW5mnANSBLIvkUFeWnPQT46/qpTAjc7045Upsi0ZBpsBGlF6ZEvvr0pLBROtqYuJw+G8dJqhOew==" saltValue="r58X84qRDBlc0rFm7QEpxA==" spinCount="100000" sheet="1" selectLockedCells="1"/>
  <conditionalFormatting sqref="B8:C9">
    <cfRule type="expression" priority="3">
      <formula>"vlookup($C$3,Sheet2!$A$1:$B$6,2,0)=""Salary Increments"""</formula>
    </cfRule>
  </conditionalFormatting>
  <conditionalFormatting sqref="C4">
    <cfRule type="expression" priority="2">
      <formula>"VLOOKUP($C$2,Tables!$A$4:$E$10,5,0)=""$25K"""</formula>
    </cfRule>
  </conditionalFormatting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03A9BA1C1EE846B58539412B8580C2" ma:contentTypeVersion="10" ma:contentTypeDescription="Create a new document." ma:contentTypeScope="" ma:versionID="863f1b23da744dea49d5019c29cf5a54">
  <xsd:schema xmlns:xsd="http://www.w3.org/2001/XMLSchema" xmlns:xs="http://www.w3.org/2001/XMLSchema" xmlns:p="http://schemas.microsoft.com/office/2006/metadata/properties" xmlns:ns3="e6e5ddb0-71c0-4eb3-8792-8f3a84f43689" xmlns:ns4="888fabda-18af-467b-9563-392557203a89" targetNamespace="http://schemas.microsoft.com/office/2006/metadata/properties" ma:root="true" ma:fieldsID="2fc600cc12495d9c2302dbf05fef8047" ns3:_="" ns4:_="">
    <xsd:import namespace="e6e5ddb0-71c0-4eb3-8792-8f3a84f43689"/>
    <xsd:import namespace="888fabda-18af-467b-9563-392557203a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e5ddb0-71c0-4eb3-8792-8f3a84f43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8fabda-18af-467b-9563-392557203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7310D-9C05-482C-BF83-D26D671A3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C98465-E0B6-4FB2-A811-6F395419C82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88fabda-18af-467b-9563-392557203a89"/>
    <ds:schemaRef ds:uri="http://purl.org/dc/elements/1.1/"/>
    <ds:schemaRef ds:uri="http://schemas.microsoft.com/office/2006/metadata/properties"/>
    <ds:schemaRef ds:uri="e6e5ddb0-71c0-4eb3-8792-8f3a84f4368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CE088B-673A-42EB-8626-2D42E7B3F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e5ddb0-71c0-4eb3-8792-8f3a84f43689"/>
    <ds:schemaRef ds:uri="888fabda-18af-467b-9563-392557203a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Tables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Marentette, Ken</dc:creator>
  <cp:lastModifiedBy>Denise Higgins</cp:lastModifiedBy>
  <dcterms:created xsi:type="dcterms:W3CDTF">2018-10-04T19:52:24Z</dcterms:created>
  <dcterms:modified xsi:type="dcterms:W3CDTF">2022-10-21T17:37:24Z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0x0101006503A9BA1C1EE846B58539412B8580C2</vt:lpwstr>
  </property>
</Properties>
</file>